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/>
  <mc:AlternateContent xmlns:mc="http://schemas.openxmlformats.org/markup-compatibility/2006">
    <mc:Choice Requires="x15">
      <x15ac:absPath xmlns:x15ac="http://schemas.microsoft.com/office/spreadsheetml/2010/11/ac" url="/Users/macbookpro/Documents/ENTERRITORIO 2024/Seguridad Privada/"/>
    </mc:Choice>
  </mc:AlternateContent>
  <xr:revisionPtr revIDLastSave="0" documentId="13_ncr:1_{2DFC82D6-F94B-7644-8BFB-B66B7E01882C}" xr6:coauthVersionLast="47" xr6:coauthVersionMax="47" xr10:uidLastSave="{00000000-0000-0000-0000-000000000000}"/>
  <workbookProtection lockStructure="1"/>
  <bookViews>
    <workbookView xWindow="0" yWindow="1660" windowWidth="28800" windowHeight="16880" xr2:uid="{00000000-000D-0000-FFFF-FFFF00000000}"/>
  </bookViews>
  <sheets>
    <sheet name="Nuevo Contrato (2)" sheetId="13" r:id="rId1"/>
    <sheet name="Nuevo Contrato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3" l="1"/>
  <c r="K25" i="13"/>
  <c r="K24" i="13"/>
  <c r="K27" i="13" s="1"/>
  <c r="K28" i="13" s="1"/>
  <c r="G23" i="13"/>
  <c r="F15" i="13"/>
  <c r="F16" i="13"/>
  <c r="F17" i="13"/>
  <c r="F18" i="13"/>
  <c r="F19" i="13"/>
  <c r="F20" i="13"/>
  <c r="F21" i="13"/>
  <c r="F22" i="13"/>
  <c r="K16" i="12"/>
  <c r="G25" i="13"/>
  <c r="J25" i="13" s="1"/>
  <c r="E12" i="13"/>
  <c r="E11" i="13"/>
  <c r="E10" i="13"/>
  <c r="G10" i="13" s="1"/>
  <c r="E9" i="13"/>
  <c r="E8" i="13"/>
  <c r="E7" i="13"/>
  <c r="F7" i="13" s="1"/>
  <c r="E6" i="13"/>
  <c r="E5" i="13"/>
  <c r="E4" i="13"/>
  <c r="M23" i="12"/>
  <c r="L23" i="12"/>
  <c r="L22" i="12"/>
  <c r="L21" i="12"/>
  <c r="L20" i="12"/>
  <c r="L19" i="12"/>
  <c r="L13" i="12"/>
  <c r="K15" i="12"/>
  <c r="K14" i="12"/>
  <c r="K12" i="12"/>
  <c r="G22" i="13" l="1"/>
  <c r="G21" i="13"/>
  <c r="G20" i="13"/>
  <c r="G19" i="13"/>
  <c r="G18" i="13"/>
  <c r="G17" i="13"/>
  <c r="G16" i="13"/>
  <c r="G15" i="13"/>
  <c r="F9" i="13"/>
  <c r="G9" i="13" s="1"/>
  <c r="I10" i="13"/>
  <c r="J10" i="13" s="1"/>
  <c r="K10" i="13" s="1"/>
  <c r="F6" i="13"/>
  <c r="G6" i="13" s="1"/>
  <c r="G7" i="13"/>
  <c r="F12" i="13"/>
  <c r="G12" i="13" s="1"/>
  <c r="F8" i="13"/>
  <c r="G8" i="13" s="1"/>
  <c r="F5" i="13"/>
  <c r="G5" i="13" s="1"/>
  <c r="F11" i="13"/>
  <c r="G11" i="13" s="1"/>
  <c r="F4" i="13"/>
  <c r="G4" i="13" s="1"/>
  <c r="E3" i="12"/>
  <c r="E9" i="12"/>
  <c r="E11" i="12"/>
  <c r="E10" i="12"/>
  <c r="E8" i="12"/>
  <c r="E7" i="12"/>
  <c r="E6" i="12"/>
  <c r="E5" i="12"/>
  <c r="E4" i="12"/>
  <c r="G13" i="12"/>
  <c r="H18" i="13" l="1"/>
  <c r="I18" i="13" s="1"/>
  <c r="J18" i="13" s="1"/>
  <c r="K18" i="13" s="1"/>
  <c r="H16" i="13"/>
  <c r="I16" i="13" s="1"/>
  <c r="J16" i="13" s="1"/>
  <c r="K16" i="13" s="1"/>
  <c r="H19" i="13"/>
  <c r="I19" i="13" s="1"/>
  <c r="J19" i="13"/>
  <c r="K19" i="13" s="1"/>
  <c r="H20" i="13"/>
  <c r="I20" i="13" s="1"/>
  <c r="J20" i="13" s="1"/>
  <c r="K20" i="13" s="1"/>
  <c r="H21" i="13"/>
  <c r="I21" i="13" s="1"/>
  <c r="J21" i="13" s="1"/>
  <c r="K21" i="13" s="1"/>
  <c r="H22" i="13"/>
  <c r="I22" i="13" s="1"/>
  <c r="J22" i="13" s="1"/>
  <c r="K22" i="13" s="1"/>
  <c r="H15" i="13"/>
  <c r="I15" i="13" s="1"/>
  <c r="J15" i="13" s="1"/>
  <c r="K15" i="13" s="1"/>
  <c r="H17" i="13"/>
  <c r="I17" i="13" s="1"/>
  <c r="J17" i="13" s="1"/>
  <c r="K17" i="13" s="1"/>
  <c r="H6" i="13"/>
  <c r="I6" i="13" s="1"/>
  <c r="J6" i="13" s="1"/>
  <c r="K6" i="13" s="1"/>
  <c r="H9" i="13"/>
  <c r="I9" i="13" s="1"/>
  <c r="J9" i="13" s="1"/>
  <c r="K9" i="13" s="1"/>
  <c r="H8" i="13"/>
  <c r="I8" i="13" s="1"/>
  <c r="J8" i="13" s="1"/>
  <c r="K8" i="13" s="1"/>
  <c r="H5" i="13"/>
  <c r="I5" i="13" s="1"/>
  <c r="J5" i="13" s="1"/>
  <c r="K5" i="13" s="1"/>
  <c r="H11" i="13"/>
  <c r="I11" i="13" s="1"/>
  <c r="J11" i="13" s="1"/>
  <c r="K11" i="13" s="1"/>
  <c r="H12" i="13"/>
  <c r="I12" i="13" s="1"/>
  <c r="J12" i="13" s="1"/>
  <c r="K12" i="13" s="1"/>
  <c r="H7" i="13"/>
  <c r="I7" i="13" s="1"/>
  <c r="J7" i="13" s="1"/>
  <c r="K7" i="13" s="1"/>
  <c r="H4" i="13"/>
  <c r="I4" i="13" s="1"/>
  <c r="J4" i="13" s="1"/>
  <c r="K4" i="13" s="1"/>
  <c r="J13" i="12"/>
  <c r="K13" i="12" s="1"/>
  <c r="K13" i="13" l="1"/>
  <c r="F7" i="12"/>
  <c r="G9" i="12"/>
  <c r="I9" i="12" l="1"/>
  <c r="J9" i="12" s="1"/>
  <c r="K9" i="12" s="1"/>
  <c r="F6" i="12"/>
  <c r="G6" i="12" s="1"/>
  <c r="G7" i="12"/>
  <c r="F5" i="12"/>
  <c r="G5" i="12" s="1"/>
  <c r="F11" i="12"/>
  <c r="G11" i="12" s="1"/>
  <c r="F4" i="12"/>
  <c r="G4" i="12" s="1"/>
  <c r="H4" i="12" s="1"/>
  <c r="F10" i="12"/>
  <c r="G10" i="12" s="1"/>
  <c r="F3" i="12"/>
  <c r="G3" i="12" s="1"/>
  <c r="F8" i="12"/>
  <c r="G8" i="12" s="1"/>
  <c r="H3" i="12" l="1"/>
  <c r="I3" i="12" s="1"/>
  <c r="J3" i="12" s="1"/>
  <c r="K3" i="12" s="1"/>
  <c r="H10" i="12"/>
  <c r="I10" i="12" s="1"/>
  <c r="J10" i="12" s="1"/>
  <c r="K10" i="12" s="1"/>
  <c r="H11" i="12"/>
  <c r="I11" i="12" s="1"/>
  <c r="J11" i="12" s="1"/>
  <c r="K11" i="12" s="1"/>
  <c r="H5" i="12"/>
  <c r="I5" i="12" s="1"/>
  <c r="J5" i="12" s="1"/>
  <c r="K5" i="12" s="1"/>
  <c r="H8" i="12"/>
  <c r="I8" i="12" s="1"/>
  <c r="J8" i="12" s="1"/>
  <c r="K8" i="12" s="1"/>
  <c r="H7" i="12"/>
  <c r="I7" i="12" s="1"/>
  <c r="J7" i="12" s="1"/>
  <c r="K7" i="12" s="1"/>
  <c r="I4" i="12"/>
  <c r="J4" i="12" s="1"/>
  <c r="K4" i="12" s="1"/>
  <c r="H6" i="12"/>
  <c r="I6" i="12" s="1"/>
  <c r="J6" i="12" s="1"/>
  <c r="K6" i="12" s="1"/>
  <c r="L12" i="12" l="1"/>
  <c r="I23" i="13" l="1"/>
  <c r="J23" i="13" l="1"/>
  <c r="K23" i="13" s="1"/>
</calcChain>
</file>

<file path=xl/sharedStrings.xml><?xml version="1.0" encoding="utf-8"?>
<sst xmlns="http://schemas.openxmlformats.org/spreadsheetml/2006/main" count="97" uniqueCount="40">
  <si>
    <t>DESCRIPCION</t>
  </si>
  <si>
    <t>UNIDAD</t>
  </si>
  <si>
    <t>VALOR TOTAL</t>
  </si>
  <si>
    <t>Costos generados teniendo en cuenta la prestación del servicio en Playa Blanca Barú es fuera del perímetro urbano (alimentación mensual, transporte, agua, menaje, Casetas y baños portátiles que requiera el personal) (15 medio humano y 1 supervisor zonal). 
Pago de servicio público de energía del lote El Trancho que se encuentra ubicado en Playa Blanca Barú.
Costos generados por ubicación de Casetas y baños portátiles para uso de los vigilantes en los predios de Playa Blanca Barú. (la cantidad será determinada a criterio por la empresa de vigilancia, teniendo en cuenta la cantidad de personas que suministre para cubrir el servicio)
Corregimiento Santa Ana - Playa Blanca Barú (Cartagena)</t>
  </si>
  <si>
    <t>VALOR UNITARIO MAS IVA</t>
  </si>
  <si>
    <t>VALOR UNITARIO</t>
  </si>
  <si>
    <t>AYS</t>
  </si>
  <si>
    <t>SUBTOTAL</t>
  </si>
  <si>
    <t>AIU</t>
  </si>
  <si>
    <t>IVA</t>
  </si>
  <si>
    <t>HORA</t>
  </si>
  <si>
    <t xml:space="preserve">CALCULO POE 
OBJETO: PRESTACIÓN DE SERVICIOS DE VIGILANCIA Y SEGURIDAD PRIVADA, PARA LOS BIENES MUEBLES E INMUEBLES DE PROPIEDAD DE ENTERRITORIO Y DE LOS QUE SEA LEGALMENTE RESPONSABLE  
</t>
  </si>
  <si>
    <t>DONDE 15 CORRESPONDE A LAS HORAS DIURNAS</t>
  </si>
  <si>
    <t>2850 PRIMA DE SEGURO DE VIDA</t>
  </si>
  <si>
    <t>0.5559</t>
  </si>
  <si>
    <t>Tasa de proporcionalidad</t>
  </si>
  <si>
    <t>12 horas a laborar</t>
  </si>
  <si>
    <t>Valor Mensual 2024</t>
  </si>
  <si>
    <t>UND</t>
  </si>
  <si>
    <t>TOTAL POE INCLUIDO IVA</t>
  </si>
  <si>
    <t xml:space="preserve">Valor Enero a Octubre de 2025 mas incremento 3% </t>
  </si>
  <si>
    <t>CANT</t>
  </si>
  <si>
    <t>Valor Noviembre y Diciembre 2024 incluido IVA</t>
  </si>
  <si>
    <r>
      <t xml:space="preserve">Supervisor nacional sin arma, doce (12) horas diurnas de lunes a domingo (con festivos)
</t>
    </r>
    <r>
      <rPr>
        <b/>
        <sz val="8"/>
        <color theme="1"/>
        <rFont val="Arial"/>
        <family val="2"/>
      </rPr>
      <t xml:space="preserve">LUGAR DE PRESTACIÓN DEL SERVICIO:
</t>
    </r>
    <r>
      <rPr>
        <sz val="8"/>
        <color theme="1"/>
        <rFont val="Arial"/>
        <family val="2"/>
      </rPr>
      <t>Edificio ubicado en la Calle 26 No. 13 19 de la ciudad de Bogotá D.C.</t>
    </r>
  </si>
  <si>
    <r>
      <t xml:space="preserve">Operador de medios tecnológicos, sin arma, doce (12) horas diurnas de lunes a viernes (sin festivos)
</t>
    </r>
    <r>
      <rPr>
        <b/>
        <sz val="8"/>
        <color theme="1"/>
        <rFont val="Arial"/>
        <family val="2"/>
      </rPr>
      <t xml:space="preserve">LUGAR DE PRESTACIÓN DEL SERVICIO:
</t>
    </r>
    <r>
      <rPr>
        <sz val="8"/>
        <color theme="1"/>
        <rFont val="Arial"/>
        <family val="2"/>
      </rPr>
      <t>Sala de monitoreo, ubicado en Edificio de la Calle 26 No. 13 19 de la ciudad de Bogotá D.C.</t>
    </r>
  </si>
  <si>
    <r>
      <t xml:space="preserve">Medio humano, sin arma, doce (12) horas diurnas de lunes a viernes (sin festivos)
</t>
    </r>
    <r>
      <rPr>
        <b/>
        <sz val="8"/>
        <color theme="1"/>
        <rFont val="Arial"/>
        <family val="2"/>
      </rPr>
      <t>LUGAR DE PRESTACIÓN DEL SERVICIO:</t>
    </r>
    <r>
      <rPr>
        <sz val="8"/>
        <color theme="1"/>
        <rFont val="Arial"/>
        <family val="2"/>
      </rPr>
      <t xml:space="preserve">
Bodega de archivo ubicada en Calle 12 No. 79 A 25 Agrupación Industrial Parque Alsacia en Bogotá D.C.</t>
    </r>
  </si>
  <si>
    <r>
      <t xml:space="preserve">Medio humano motorizado, sin arma, veinticuatro (24) horas de lunes a domingo (con festivos)
</t>
    </r>
    <r>
      <rPr>
        <b/>
        <sz val="8"/>
        <color theme="1"/>
        <rFont val="Arial"/>
        <family val="2"/>
      </rPr>
      <t>LUGAR DE PRESTACIÓN DEL SERVICIO:</t>
    </r>
    <r>
      <rPr>
        <sz val="8"/>
        <color theme="1"/>
        <rFont val="Arial"/>
        <family val="2"/>
      </rPr>
      <t xml:space="preserve">
Carrera 80 No. 129 - 21 INT 20, en Suba (Bogotá D.C.) (7 predios)</t>
    </r>
  </si>
  <si>
    <r>
      <t xml:space="preserve">Supervisor Zonal, sin arma, veinticuatro (24) horas de lunes a domingo (con festivos).
</t>
    </r>
    <r>
      <rPr>
        <b/>
        <sz val="8"/>
        <color theme="1"/>
        <rFont val="Arial"/>
        <family val="2"/>
      </rPr>
      <t xml:space="preserve">LUGAR DE PRESTACIÓN DEL SERVICIO:
</t>
    </r>
    <r>
      <rPr>
        <sz val="8"/>
        <color theme="1"/>
        <rFont val="Arial"/>
        <family val="2"/>
      </rPr>
      <t>Corregimiento Santa Ana - Playa Blanca Barú (Cartagena) (18 predios)</t>
    </r>
  </si>
  <si>
    <r>
      <t xml:space="preserve">Medio humano, con arma, veinticuatro (24) horas de lunes a domingo (con festivos).
</t>
    </r>
    <r>
      <rPr>
        <b/>
        <sz val="8"/>
        <color theme="1"/>
        <rFont val="Arial"/>
        <family val="2"/>
      </rPr>
      <t xml:space="preserve">LUGAR DE PRESTACIÓN DEL SERVICIO:
</t>
    </r>
    <r>
      <rPr>
        <sz val="8"/>
        <color theme="1"/>
        <rFont val="Arial"/>
        <family val="2"/>
      </rPr>
      <t>Corregimiento Santa Ana - Playa Blanca Barú (Cartagena) (18 predios)</t>
    </r>
  </si>
  <si>
    <r>
      <t xml:space="preserve">Medio humano motorizado, sin arma, veinticuatro (24) horas de lunes a domingo (con festivos)
</t>
    </r>
    <r>
      <rPr>
        <b/>
        <sz val="8"/>
        <color theme="1"/>
        <rFont val="Arial"/>
        <family val="2"/>
      </rPr>
      <t xml:space="preserve">LUGAR DE PRESTACIÓN DEL SERVICIO:
</t>
    </r>
    <r>
      <rPr>
        <sz val="8"/>
        <color theme="1"/>
        <rFont val="Arial"/>
        <family val="2"/>
      </rPr>
      <t>Corregimiento Canoas – Cartagena (2 predios)</t>
    </r>
  </si>
  <si>
    <r>
      <t xml:space="preserve">Medio humano motorizado, sin arma, veinticuatro (24) horas de lunes a domingo (con festivos)
</t>
    </r>
    <r>
      <rPr>
        <b/>
        <sz val="8"/>
        <color theme="1"/>
        <rFont val="Arial"/>
        <family val="2"/>
      </rPr>
      <t xml:space="preserve">LUGAR DE PRESTACIÓN DEL SERVICIO:
</t>
    </r>
    <r>
      <rPr>
        <sz val="8"/>
        <color theme="1"/>
        <rFont val="Arial"/>
        <family val="2"/>
      </rPr>
      <t>Km 7 Vía Carmen de Apicalá (Tolima)</t>
    </r>
  </si>
  <si>
    <r>
      <t xml:space="preserve">Bolsa transporte en lancha rápida capacidad entre 6 y 10 pasajeros
</t>
    </r>
    <r>
      <rPr>
        <b/>
        <sz val="8"/>
        <color theme="1"/>
        <rFont val="Arial"/>
        <family val="2"/>
      </rPr>
      <t xml:space="preserve">LUGAR DE PRESTACIÓN DEL SERVICIO:
</t>
    </r>
    <r>
      <rPr>
        <sz val="8"/>
        <color theme="1"/>
        <rFont val="Arial"/>
        <family val="2"/>
      </rPr>
      <t>Corregimiento Santa Ana - Playa Blanca Barú (Cartagena) Lote la Puntilla l Lote el Pajal.</t>
    </r>
  </si>
  <si>
    <t>VALORES MENSUALES  VIGENCIA 2024</t>
  </si>
  <si>
    <t xml:space="preserve">Valor Mensual 2025								</t>
  </si>
  <si>
    <t>VALORES MENSUALES  VIGENCIA 2025</t>
  </si>
  <si>
    <t>Valor oferta IVA incluido</t>
  </si>
  <si>
    <t xml:space="preserve">OFERTA ECONOMICA
OBJETO: PRESTACIÓN DE SERVICIOS DE VIGILANCIA Y SEGURIDAD PRIVADA, PARA LOS BIENES MUEBLES E INMUEBLES DE PROPIEDAD DE ENTERRITORIO Y DE LOS QUE SEA LEGALMENTE RESPONSABLE  
</t>
  </si>
  <si>
    <t>Sub-total 16 al 31 de diciembre de 2024 ( Calculado sobre 15 dias, no modificar)</t>
  </si>
  <si>
    <t>Valor Enero a 15 diciembre de 2025 mas incremento 3% Circular Externa No 009 del Ministerio de Hacienda sobre la prestacion de servicio e vigilancia, excluye el item 7. (Corresponde a la multiplicacion de  11,5 meses sobre el valor mensual 2025, Casilla K24 ).</t>
  </si>
  <si>
    <t>Nota: El oferente sólo podrá modificar los valores de la casilla de E23, E25, I23, K23 y K25, sopena de rechazo de la oferta. El excel se encuentra formulado para que arroje el valor total de la oferta en la casilla K28.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</si>
</sst>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* #,##0.00_);_(* \(#,##0.00\);_(* &quot;-&quot;??_);_(@_)"/>
    <numFmt numFmtId="167" formatCode="#,###.00\ &quot;COP&quot;"/>
    <numFmt numFmtId="168" formatCode="#,###.00"/>
    <numFmt numFmtId="169" formatCode="#,##0.00\ \€"/>
    <numFmt numFmtId="170" formatCode="_-&quot;$&quot;\ * #,##0_-;\-&quot;$&quot;\ * #,##0_-;_-&quot;$&quot;\ * &quot;-&quot;??_-;_-@_-"/>
    <numFmt numFmtId="171" formatCode="_-* #,##0_-;\-* #,##0_-;_-* &quot;-&quot;??_-;_-@_-"/>
    <numFmt numFmtId="172" formatCode="_-[$$-240A]\ * #,##0.00_-;\-[$$-240A]\ * #,##0.00_-;_-[$$-240A]\ * &quot;-&quot;??_-;_-@_-"/>
    <numFmt numFmtId="173" formatCode="_-* #,##0.00\ _€_-;\-* #,##0.00\ _€_-;_-* &quot;-&quot;??\ _€_-;_-@_-"/>
    <numFmt numFmtId="174" formatCode="0.000"/>
    <numFmt numFmtId="175" formatCode="#,##0_ ;\-#,##0\ "/>
    <numFmt numFmtId="176" formatCode="#,##0.00_ ;\-#,##0.00\ "/>
  </numFmts>
  <fonts count="1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 Narrow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2" borderId="1" applyNumberFormat="0" applyProtection="0">
      <alignment horizontal="left" vertical="center"/>
    </xf>
    <xf numFmtId="0" fontId="3" fillId="3" borderId="0" applyNumberFormat="0" applyBorder="0" applyProtection="0">
      <alignment horizontal="center" vertical="center"/>
    </xf>
    <xf numFmtId="0" fontId="3" fillId="4" borderId="0" applyNumberFormat="0" applyBorder="0" applyProtection="0">
      <alignment horizontal="center" vertical="center"/>
    </xf>
    <xf numFmtId="0" fontId="3" fillId="2" borderId="0" applyNumberFormat="0" applyBorder="0" applyProtection="0">
      <alignment horizontal="center" vertical="center" wrapText="1"/>
    </xf>
    <xf numFmtId="0" fontId="3" fillId="2" borderId="0" applyNumberFormat="0" applyBorder="0" applyProtection="0">
      <alignment horizontal="right" vertical="center" wrapText="1"/>
    </xf>
    <xf numFmtId="0" fontId="3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3" fillId="0" borderId="0" applyNumberFormat="0" applyFill="0" applyBorder="0" applyProtection="0">
      <alignment horizontal="left" vertical="center"/>
    </xf>
    <xf numFmtId="0" fontId="3" fillId="0" borderId="0" applyNumberFormat="0" applyFill="0" applyBorder="0" applyProtection="0">
      <alignment horizontal="right" vertical="center"/>
    </xf>
    <xf numFmtId="169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168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9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5" fillId="0" borderId="1" applyNumberFormat="0" applyFont="0" applyFill="0" applyAlignment="0" applyProtection="0"/>
    <xf numFmtId="0" fontId="6" fillId="0" borderId="0"/>
    <xf numFmtId="164" fontId="5" fillId="0" borderId="0" applyFont="0" applyFill="0" applyBorder="0" applyAlignment="0" applyProtection="0"/>
    <xf numFmtId="0" fontId="3" fillId="6" borderId="0" applyNumberFormat="0" applyBorder="0" applyProtection="0">
      <alignment horizontal="center" vertical="center"/>
    </xf>
    <xf numFmtId="0" fontId="6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6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170" fontId="7" fillId="0" borderId="0" xfId="32" applyNumberFormat="1" applyFont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171" fontId="7" fillId="0" borderId="0" xfId="33" applyNumberFormat="1" applyFont="1" applyAlignment="1">
      <alignment vertical="center" wrapText="1"/>
    </xf>
    <xf numFmtId="43" fontId="7" fillId="0" borderId="0" xfId="33" applyFont="1" applyAlignment="1">
      <alignment vertical="center" wrapText="1"/>
    </xf>
    <xf numFmtId="43" fontId="7" fillId="0" borderId="0" xfId="0" applyNumberFormat="1" applyFont="1" applyAlignment="1">
      <alignment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170" fontId="7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70" fontId="8" fillId="0" borderId="1" xfId="32" applyNumberFormat="1" applyFont="1" applyBorder="1" applyAlignment="1" applyProtection="1">
      <alignment vertical="center" wrapText="1"/>
      <protection locked="0"/>
    </xf>
    <xf numFmtId="44" fontId="7" fillId="0" borderId="0" xfId="32" applyFont="1" applyAlignment="1">
      <alignment vertical="center" wrapText="1"/>
    </xf>
    <xf numFmtId="44" fontId="7" fillId="0" borderId="0" xfId="0" applyNumberFormat="1" applyFont="1" applyAlignment="1">
      <alignment vertical="center" wrapText="1"/>
    </xf>
    <xf numFmtId="3" fontId="8" fillId="0" borderId="1" xfId="0" applyNumberFormat="1" applyFont="1" applyBorder="1" applyAlignment="1" applyProtection="1">
      <alignment vertical="center" wrapText="1"/>
      <protection locked="0"/>
    </xf>
    <xf numFmtId="173" fontId="7" fillId="0" borderId="0" xfId="0" applyNumberFormat="1" applyFont="1" applyAlignment="1">
      <alignment vertical="center" wrapText="1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3" fontId="7" fillId="0" borderId="0" xfId="0" applyNumberFormat="1" applyFont="1" applyAlignment="1" applyProtection="1">
      <alignment vertical="center" wrapText="1"/>
      <protection locked="0"/>
    </xf>
    <xf numFmtId="3" fontId="7" fillId="0" borderId="0" xfId="0" applyNumberFormat="1" applyFont="1" applyAlignment="1">
      <alignment vertical="center" wrapText="1"/>
    </xf>
    <xf numFmtId="172" fontId="7" fillId="0" borderId="0" xfId="0" applyNumberFormat="1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0" fontId="12" fillId="0" borderId="1" xfId="32" applyNumberFormat="1" applyFont="1" applyFill="1" applyBorder="1" applyAlignment="1">
      <alignment horizontal="left" vertical="center" wrapText="1"/>
    </xf>
    <xf numFmtId="170" fontId="12" fillId="8" borderId="1" xfId="32" applyNumberFormat="1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0" fontId="12" fillId="0" borderId="4" xfId="32" applyNumberFormat="1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 applyProtection="1">
      <alignment horizontal="justify" vertical="center" wrapText="1"/>
      <protection locked="0"/>
    </xf>
    <xf numFmtId="170" fontId="13" fillId="8" borderId="1" xfId="32" applyNumberFormat="1" applyFont="1" applyFill="1" applyBorder="1" applyAlignment="1">
      <alignment horizontal="left" vertical="center" wrapText="1"/>
    </xf>
    <xf numFmtId="4" fontId="7" fillId="0" borderId="0" xfId="0" applyNumberFormat="1" applyFont="1" applyAlignment="1">
      <alignment vertical="center" wrapText="1"/>
    </xf>
    <xf numFmtId="174" fontId="7" fillId="0" borderId="0" xfId="0" applyNumberFormat="1" applyFont="1" applyAlignment="1">
      <alignment vertical="center" wrapText="1"/>
    </xf>
    <xf numFmtId="39" fontId="12" fillId="0" borderId="1" xfId="32" applyNumberFormat="1" applyFont="1" applyFill="1" applyBorder="1" applyAlignment="1">
      <alignment horizontal="right" vertical="center" wrapText="1"/>
    </xf>
    <xf numFmtId="39" fontId="12" fillId="8" borderId="1" xfId="32" applyNumberFormat="1" applyFont="1" applyFill="1" applyBorder="1" applyAlignment="1">
      <alignment horizontal="right" vertical="center" wrapText="1"/>
    </xf>
    <xf numFmtId="176" fontId="13" fillId="0" borderId="1" xfId="32" applyNumberFormat="1" applyFont="1" applyBorder="1" applyAlignment="1" applyProtection="1">
      <alignment horizontal="right" vertical="center" wrapText="1"/>
      <protection locked="0"/>
    </xf>
    <xf numFmtId="176" fontId="13" fillId="0" borderId="1" xfId="0" applyNumberFormat="1" applyFont="1" applyBorder="1" applyAlignment="1" applyProtection="1">
      <alignment horizontal="right" vertical="center" wrapText="1"/>
      <protection locked="0"/>
    </xf>
    <xf numFmtId="175" fontId="13" fillId="8" borderId="1" xfId="32" applyNumberFormat="1" applyFont="1" applyFill="1" applyBorder="1" applyAlignment="1">
      <alignment horizontal="left" vertical="center" wrapText="1"/>
    </xf>
    <xf numFmtId="4" fontId="12" fillId="0" borderId="4" xfId="32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3" fontId="8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 applyProtection="1">
      <alignment horizontal="center" vertical="center" wrapText="1"/>
      <protection locked="0"/>
    </xf>
    <xf numFmtId="3" fontId="8" fillId="0" borderId="3" xfId="0" applyNumberFormat="1" applyFont="1" applyBorder="1" applyAlignment="1" applyProtection="1">
      <alignment horizontal="center" vertical="center" wrapText="1"/>
      <protection locked="0"/>
    </xf>
    <xf numFmtId="3" fontId="8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4" fontId="12" fillId="10" borderId="4" xfId="32" applyNumberFormat="1" applyFont="1" applyFill="1" applyBorder="1" applyAlignment="1">
      <alignment horizontal="center" vertical="center" wrapText="1"/>
    </xf>
    <xf numFmtId="39" fontId="12" fillId="10" borderId="1" xfId="32" applyNumberFormat="1" applyFont="1" applyFill="1" applyBorder="1" applyAlignment="1">
      <alignment horizontal="right" vertical="center" wrapText="1"/>
    </xf>
    <xf numFmtId="4" fontId="12" fillId="8" borderId="4" xfId="32" applyNumberFormat="1" applyFont="1" applyFill="1" applyBorder="1" applyAlignment="1">
      <alignment horizontal="center" vertical="center" wrapText="1"/>
    </xf>
    <xf numFmtId="4" fontId="12" fillId="10" borderId="1" xfId="32" applyNumberFormat="1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 applyProtection="1">
      <alignment vertical="center" wrapText="1"/>
    </xf>
  </cellXfs>
  <cellStyles count="34">
    <cellStyle name="BodyStyle" xfId="13" xr:uid="{00000000-0005-0000-0000-000000000000}"/>
    <cellStyle name="BodyStyleBold" xfId="14" xr:uid="{00000000-0005-0000-0000-000001000000}"/>
    <cellStyle name="BodyStyleBoldRight" xfId="15" xr:uid="{00000000-0005-0000-0000-000002000000}"/>
    <cellStyle name="BodyStyleWithBorder" xfId="21" xr:uid="{00000000-0005-0000-0000-000003000000}"/>
    <cellStyle name="BorderThinBlack" xfId="25" xr:uid="{00000000-0005-0000-0000-000004000000}"/>
    <cellStyle name="Comma" xfId="4" xr:uid="{00000000-0005-0000-0000-000005000000}"/>
    <cellStyle name="Comma [0]" xfId="5" xr:uid="{00000000-0005-0000-0000-000006000000}"/>
    <cellStyle name="Currency" xfId="2" xr:uid="{00000000-0005-0000-0000-000007000000}"/>
    <cellStyle name="Currency [0]" xfId="3" xr:uid="{00000000-0005-0000-0000-000008000000}"/>
    <cellStyle name="Currency [0] 2" xfId="27" xr:uid="{00000000-0005-0000-0000-000009000000}"/>
    <cellStyle name="DateStyle" xfId="17" xr:uid="{00000000-0005-0000-0000-00000A000000}"/>
    <cellStyle name="DateTimeStyle" xfId="18" xr:uid="{00000000-0005-0000-0000-00000B000000}"/>
    <cellStyle name="Decimal" xfId="20" xr:uid="{00000000-0005-0000-0000-00000C000000}"/>
    <cellStyle name="DecimalWithBorder" xfId="24" xr:uid="{00000000-0005-0000-0000-00000D000000}"/>
    <cellStyle name="EuroCurrency" xfId="16" xr:uid="{00000000-0005-0000-0000-00000E000000}"/>
    <cellStyle name="EuroCurrencyWithBorder" xfId="22" xr:uid="{00000000-0005-0000-0000-00000F000000}"/>
    <cellStyle name="HeaderStyle" xfId="7" xr:uid="{00000000-0005-0000-0000-000010000000}"/>
    <cellStyle name="HeaderStyle 2" xfId="28" xr:uid="{00000000-0005-0000-0000-000011000000}"/>
    <cellStyle name="HeaderSubTop" xfId="11" xr:uid="{00000000-0005-0000-0000-000012000000}"/>
    <cellStyle name="HeaderSubTopNoBold" xfId="12" xr:uid="{00000000-0005-0000-0000-000013000000}"/>
    <cellStyle name="HeaderTopBuyer" xfId="8" xr:uid="{00000000-0005-0000-0000-000014000000}"/>
    <cellStyle name="HeaderTopStyle" xfId="9" xr:uid="{00000000-0005-0000-0000-000015000000}"/>
    <cellStyle name="HeaderTopStyleAlignRight" xfId="10" xr:uid="{00000000-0005-0000-0000-000016000000}"/>
    <cellStyle name="MainTitle" xfId="6" xr:uid="{00000000-0005-0000-0000-000017000000}"/>
    <cellStyle name="Millares" xfId="33" builtinId="3"/>
    <cellStyle name="Millares 14 2 3" xfId="30" xr:uid="{00000000-0005-0000-0000-000019000000}"/>
    <cellStyle name="Moneda" xfId="32" builtinId="4"/>
    <cellStyle name="Normal" xfId="0" builtinId="0"/>
    <cellStyle name="Normal 12" xfId="29" xr:uid="{00000000-0005-0000-0000-00001B000000}"/>
    <cellStyle name="Normal 2" xfId="26" xr:uid="{00000000-0005-0000-0000-00001C000000}"/>
    <cellStyle name="Numeric" xfId="19" xr:uid="{00000000-0005-0000-0000-00001D000000}"/>
    <cellStyle name="NumericWithBorder" xfId="23" xr:uid="{00000000-0005-0000-0000-00001E000000}"/>
    <cellStyle name="Percent" xfId="1" xr:uid="{00000000-0005-0000-0000-00001F000000}"/>
    <cellStyle name="Porcentaje 2 2" xfId="31" xr:uid="{00000000-0005-0000-0000-000021000000}"/>
  </cellStyles>
  <dxfs count="0"/>
  <tableStyles count="0" defaultTableStyle="TableStyleMedium2" defaultPivotStyle="PivotStyleLight16"/>
  <colors>
    <mruColors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120649</xdr:colOff>
      <xdr:row>0</xdr:row>
      <xdr:rowOff>126999</xdr:rowOff>
    </xdr:from>
    <xdr:ext cx="2218409" cy="493889"/>
    <xdr:pic>
      <xdr:nvPicPr>
        <xdr:cNvPr id="2" name="Imagen 14" descr="Certificaciones | Enterritorio">
          <a:extLst>
            <a:ext uri="{FF2B5EF4-FFF2-40B4-BE49-F238E27FC236}">
              <a16:creationId xmlns:a16="http://schemas.microsoft.com/office/drawing/2014/main" id="{EF68FB38-F14F-574E-B4A9-FD72A5C6C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49" y="126999"/>
          <a:ext cx="2218409" cy="493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120649</xdr:colOff>
      <xdr:row>0</xdr:row>
      <xdr:rowOff>126999</xdr:rowOff>
    </xdr:from>
    <xdr:ext cx="2218409" cy="493889"/>
    <xdr:pic>
      <xdr:nvPicPr>
        <xdr:cNvPr id="2" name="Imagen 14" descr="Certificaciones | Enterritorio">
          <a:extLst>
            <a:ext uri="{FF2B5EF4-FFF2-40B4-BE49-F238E27FC236}">
              <a16:creationId xmlns:a16="http://schemas.microsoft.com/office/drawing/2014/main" id="{DED741FE-FB98-5646-BD28-040AFA142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49" y="126999"/>
          <a:ext cx="2218409" cy="493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CA191-5683-9446-B669-97283132D264}">
  <dimension ref="A1:R46"/>
  <sheetViews>
    <sheetView tabSelected="1" zoomScale="150" zoomScaleNormal="60" workbookViewId="0">
      <selection activeCell="L25" sqref="L25"/>
    </sheetView>
  </sheetViews>
  <sheetFormatPr baseColWidth="10" defaultColWidth="9.1640625" defaultRowHeight="12" x14ac:dyDescent="0.15"/>
  <cols>
    <col min="1" max="1" width="3.6640625" style="9" customWidth="1"/>
    <col min="2" max="2" width="23.6640625" style="35" customWidth="1"/>
    <col min="3" max="3" width="4.83203125" style="17" customWidth="1"/>
    <col min="4" max="4" width="5" style="18" customWidth="1"/>
    <col min="5" max="5" width="9.33203125" style="19" customWidth="1"/>
    <col min="6" max="6" width="8.5" style="19" customWidth="1"/>
    <col min="7" max="7" width="9.33203125" style="19" customWidth="1"/>
    <col min="8" max="8" width="8.6640625" style="19" customWidth="1"/>
    <col min="9" max="9" width="8" style="19" customWidth="1"/>
    <col min="10" max="10" width="9.5" style="19" customWidth="1"/>
    <col min="11" max="11" width="11.83203125" style="19" customWidth="1"/>
    <col min="12" max="12" width="17.5" style="2" bestFit="1" customWidth="1"/>
    <col min="13" max="13" width="20.5" style="2" customWidth="1"/>
    <col min="14" max="15" width="9.1640625" style="2"/>
    <col min="16" max="16" width="22" style="2" bestFit="1" customWidth="1"/>
    <col min="17" max="17" width="20.83203125" style="2" customWidth="1"/>
    <col min="18" max="18" width="37.83203125" style="2" customWidth="1"/>
    <col min="19" max="16384" width="9.1640625" style="2"/>
  </cols>
  <sheetData>
    <row r="1" spans="1:12" ht="125.25" customHeight="1" x14ac:dyDescent="0.15">
      <c r="A1" s="45" t="s">
        <v>36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38" customHeight="1" x14ac:dyDescent="0.15">
      <c r="A2" s="3"/>
      <c r="B2" s="29" t="s">
        <v>0</v>
      </c>
      <c r="C2" s="3" t="s">
        <v>18</v>
      </c>
      <c r="D2" s="3" t="s">
        <v>21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4</v>
      </c>
      <c r="K2" s="3" t="s">
        <v>2</v>
      </c>
    </row>
    <row r="3" spans="1:12" ht="16" customHeight="1" x14ac:dyDescent="0.15">
      <c r="A3" s="51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3"/>
    </row>
    <row r="4" spans="1:12" ht="109" customHeight="1" x14ac:dyDescent="0.15">
      <c r="A4" s="1">
        <v>1</v>
      </c>
      <c r="B4" s="30" t="s">
        <v>23</v>
      </c>
      <c r="C4" s="22" t="s">
        <v>1</v>
      </c>
      <c r="D4" s="23">
        <v>1</v>
      </c>
      <c r="E4" s="39">
        <f>ROUND(9.14*(1300000+2850)*0.5597/15*12,0)</f>
        <v>5331948</v>
      </c>
      <c r="F4" s="39">
        <f>+E4*8%</f>
        <v>426555.84</v>
      </c>
      <c r="G4" s="39">
        <f>+E4+F4</f>
        <v>5758503.8399999999</v>
      </c>
      <c r="H4" s="39">
        <f>G4*10%</f>
        <v>575850.38399999996</v>
      </c>
      <c r="I4" s="39">
        <f>+H4*19%</f>
        <v>109411.57295999999</v>
      </c>
      <c r="J4" s="39">
        <f>+G4+I4</f>
        <v>5867915.4129599994</v>
      </c>
      <c r="K4" s="40">
        <f>+J4</f>
        <v>5867915.4129599994</v>
      </c>
    </row>
    <row r="5" spans="1:12" ht="108" customHeight="1" x14ac:dyDescent="0.15">
      <c r="A5" s="1">
        <v>2</v>
      </c>
      <c r="B5" s="30" t="s">
        <v>24</v>
      </c>
      <c r="C5" s="22" t="s">
        <v>1</v>
      </c>
      <c r="D5" s="23">
        <v>1</v>
      </c>
      <c r="E5" s="39">
        <f>ROUND(9.14*(1300000+2850)*0.5597/15*12,0)/30*20</f>
        <v>3554632</v>
      </c>
      <c r="F5" s="39">
        <f>+E5*8%</f>
        <v>284370.56</v>
      </c>
      <c r="G5" s="39">
        <f>+E5+F5</f>
        <v>3839002.56</v>
      </c>
      <c r="H5" s="39">
        <f>G5*10%</f>
        <v>383900.25600000005</v>
      </c>
      <c r="I5" s="39">
        <f t="shared" ref="I5:I12" si="0">+H5*19%</f>
        <v>72941.048640000008</v>
      </c>
      <c r="J5" s="39">
        <f t="shared" ref="J5:J12" si="1">+G5+I5</f>
        <v>3911943.6086400002</v>
      </c>
      <c r="K5" s="40">
        <f t="shared" ref="K5:K12" si="2">+J5</f>
        <v>3911943.6086400002</v>
      </c>
    </row>
    <row r="6" spans="1:12" ht="110" customHeight="1" x14ac:dyDescent="0.15">
      <c r="A6" s="1">
        <v>3</v>
      </c>
      <c r="B6" s="30" t="s">
        <v>25</v>
      </c>
      <c r="C6" s="22" t="s">
        <v>1</v>
      </c>
      <c r="D6" s="23">
        <v>1</v>
      </c>
      <c r="E6" s="39">
        <f>ROUND(9.14*(1300000+2850)*0.5597/15*12,0)/30*20</f>
        <v>3554632</v>
      </c>
      <c r="F6" s="39">
        <f>+E6*8%</f>
        <v>284370.56</v>
      </c>
      <c r="G6" s="39">
        <f t="shared" ref="G6:G12" si="3">+E6+F6</f>
        <v>3839002.56</v>
      </c>
      <c r="H6" s="39">
        <f t="shared" ref="H6:H12" si="4">G6*10%</f>
        <v>383900.25600000005</v>
      </c>
      <c r="I6" s="39">
        <f t="shared" si="0"/>
        <v>72941.048640000008</v>
      </c>
      <c r="J6" s="39">
        <f t="shared" si="1"/>
        <v>3911943.6086400002</v>
      </c>
      <c r="K6" s="40">
        <f t="shared" si="2"/>
        <v>3911943.6086400002</v>
      </c>
    </row>
    <row r="7" spans="1:12" ht="91" customHeight="1" x14ac:dyDescent="0.15">
      <c r="A7" s="1">
        <v>4</v>
      </c>
      <c r="B7" s="30" t="s">
        <v>26</v>
      </c>
      <c r="C7" s="22" t="s">
        <v>1</v>
      </c>
      <c r="D7" s="23">
        <v>1</v>
      </c>
      <c r="E7" s="39">
        <f>ROUND(9.14*(1300000+2850),0)</f>
        <v>11908049</v>
      </c>
      <c r="F7" s="39">
        <f>+E7*8%</f>
        <v>952643.92</v>
      </c>
      <c r="G7" s="39">
        <f t="shared" si="3"/>
        <v>12860692.92</v>
      </c>
      <c r="H7" s="39">
        <f t="shared" si="4"/>
        <v>1286069.2920000001</v>
      </c>
      <c r="I7" s="39">
        <f t="shared" si="0"/>
        <v>244353.16548000003</v>
      </c>
      <c r="J7" s="39">
        <f t="shared" si="1"/>
        <v>13105046.085480001</v>
      </c>
      <c r="K7" s="40">
        <f t="shared" si="2"/>
        <v>13105046.085480001</v>
      </c>
    </row>
    <row r="8" spans="1:12" ht="95" customHeight="1" x14ac:dyDescent="0.15">
      <c r="A8" s="1">
        <v>5</v>
      </c>
      <c r="B8" s="30" t="s">
        <v>27</v>
      </c>
      <c r="C8" s="22" t="s">
        <v>1</v>
      </c>
      <c r="D8" s="23">
        <v>1</v>
      </c>
      <c r="E8" s="39">
        <f>ROUND(9.14*(1300000+2850),0)</f>
        <v>11908049</v>
      </c>
      <c r="F8" s="39">
        <f>+E8*8%</f>
        <v>952643.92</v>
      </c>
      <c r="G8" s="39">
        <f t="shared" si="3"/>
        <v>12860692.92</v>
      </c>
      <c r="H8" s="39">
        <f t="shared" si="4"/>
        <v>1286069.2920000001</v>
      </c>
      <c r="I8" s="39">
        <f t="shared" si="0"/>
        <v>244353.16548000003</v>
      </c>
      <c r="J8" s="39">
        <f t="shared" si="1"/>
        <v>13105046.085480001</v>
      </c>
      <c r="K8" s="40">
        <f t="shared" si="2"/>
        <v>13105046.085480001</v>
      </c>
    </row>
    <row r="9" spans="1:12" ht="97" customHeight="1" x14ac:dyDescent="0.15">
      <c r="A9" s="1">
        <v>6</v>
      </c>
      <c r="B9" s="30" t="s">
        <v>28</v>
      </c>
      <c r="C9" s="22" t="s">
        <v>1</v>
      </c>
      <c r="D9" s="23">
        <v>15</v>
      </c>
      <c r="E9" s="39">
        <f>ROUND(9.14*(1300000+2850),0)</f>
        <v>11908049</v>
      </c>
      <c r="F9" s="39">
        <f>+E9*10%</f>
        <v>1190804.9000000001</v>
      </c>
      <c r="G9" s="39">
        <f t="shared" si="3"/>
        <v>13098853.9</v>
      </c>
      <c r="H9" s="39">
        <f t="shared" si="4"/>
        <v>1309885.3900000001</v>
      </c>
      <c r="I9" s="39">
        <f t="shared" si="0"/>
        <v>248878.22410000002</v>
      </c>
      <c r="J9" s="39">
        <f t="shared" si="1"/>
        <v>13347732.1241</v>
      </c>
      <c r="K9" s="40">
        <f>+J9*D9</f>
        <v>200215981.86149999</v>
      </c>
    </row>
    <row r="10" spans="1:12" ht="237" customHeight="1" x14ac:dyDescent="0.15">
      <c r="A10" s="5">
        <v>7</v>
      </c>
      <c r="B10" s="31" t="s">
        <v>3</v>
      </c>
      <c r="C10" s="22" t="s">
        <v>1</v>
      </c>
      <c r="D10" s="23">
        <v>16</v>
      </c>
      <c r="E10" s="39">
        <f xml:space="preserve"> 3545147/1.19</f>
        <v>2979115.1260504201</v>
      </c>
      <c r="F10" s="39"/>
      <c r="G10" s="39">
        <f>+E10+F10</f>
        <v>2979115.1260504201</v>
      </c>
      <c r="H10" s="39"/>
      <c r="I10" s="39">
        <f>+G10*19%</f>
        <v>566031.87394957978</v>
      </c>
      <c r="J10" s="39">
        <f>+G10+I10</f>
        <v>3545147</v>
      </c>
      <c r="K10" s="40">
        <f>J10*D10</f>
        <v>56722352</v>
      </c>
      <c r="L10" s="8"/>
    </row>
    <row r="11" spans="1:12" ht="95" customHeight="1" x14ac:dyDescent="0.15">
      <c r="A11" s="5">
        <v>8</v>
      </c>
      <c r="B11" s="30" t="s">
        <v>29</v>
      </c>
      <c r="C11" s="22" t="s">
        <v>1</v>
      </c>
      <c r="D11" s="23">
        <v>1</v>
      </c>
      <c r="E11" s="39">
        <f>ROUND(9.14*(1300000+2850),0)</f>
        <v>11908049</v>
      </c>
      <c r="F11" s="39">
        <f>+E11*10%</f>
        <v>1190804.9000000001</v>
      </c>
      <c r="G11" s="39">
        <f t="shared" si="3"/>
        <v>13098853.9</v>
      </c>
      <c r="H11" s="39">
        <f t="shared" si="4"/>
        <v>1309885.3900000001</v>
      </c>
      <c r="I11" s="39">
        <f t="shared" si="0"/>
        <v>248878.22410000002</v>
      </c>
      <c r="J11" s="39">
        <f t="shared" si="1"/>
        <v>13347732.1241</v>
      </c>
      <c r="K11" s="40">
        <f t="shared" si="2"/>
        <v>13347732.1241</v>
      </c>
    </row>
    <row r="12" spans="1:12" ht="83" customHeight="1" x14ac:dyDescent="0.15">
      <c r="A12" s="5">
        <v>9</v>
      </c>
      <c r="B12" s="30" t="s">
        <v>30</v>
      </c>
      <c r="C12" s="22" t="s">
        <v>1</v>
      </c>
      <c r="D12" s="23">
        <v>1</v>
      </c>
      <c r="E12" s="39">
        <f>ROUND(9.14*(1300000+2850),0)</f>
        <v>11908049</v>
      </c>
      <c r="F12" s="39">
        <f>+E12*10%</f>
        <v>1190804.9000000001</v>
      </c>
      <c r="G12" s="39">
        <f t="shared" si="3"/>
        <v>13098853.9</v>
      </c>
      <c r="H12" s="39">
        <f t="shared" si="4"/>
        <v>1309885.3900000001</v>
      </c>
      <c r="I12" s="39">
        <f t="shared" si="0"/>
        <v>248878.22410000002</v>
      </c>
      <c r="J12" s="39">
        <f t="shared" si="1"/>
        <v>13347732.1241</v>
      </c>
      <c r="K12" s="40">
        <f t="shared" si="2"/>
        <v>13347732.1241</v>
      </c>
    </row>
    <row r="13" spans="1:12" ht="18" customHeight="1" x14ac:dyDescent="0.15">
      <c r="B13" s="47" t="s">
        <v>17</v>
      </c>
      <c r="C13" s="47"/>
      <c r="D13" s="47"/>
      <c r="E13" s="47"/>
      <c r="F13" s="47"/>
      <c r="G13" s="47"/>
      <c r="H13" s="47"/>
      <c r="I13" s="47"/>
      <c r="J13" s="47"/>
      <c r="K13" s="65">
        <f>SUM(K4:K12)</f>
        <v>323535692.9109</v>
      </c>
    </row>
    <row r="14" spans="1:12" ht="16" customHeight="1" x14ac:dyDescent="0.15">
      <c r="A14" s="51" t="s">
        <v>34</v>
      </c>
      <c r="B14" s="52"/>
      <c r="C14" s="52"/>
      <c r="D14" s="52"/>
      <c r="E14" s="52"/>
      <c r="F14" s="52"/>
      <c r="G14" s="52"/>
      <c r="H14" s="52"/>
      <c r="I14" s="52"/>
      <c r="J14" s="52"/>
      <c r="K14" s="53"/>
    </row>
    <row r="15" spans="1:12" ht="98" customHeight="1" x14ac:dyDescent="0.15">
      <c r="A15" s="1">
        <v>1</v>
      </c>
      <c r="B15" s="30" t="s">
        <v>23</v>
      </c>
      <c r="C15" s="22" t="s">
        <v>1</v>
      </c>
      <c r="D15" s="23">
        <v>1</v>
      </c>
      <c r="E15" s="39">
        <v>5491906.4400000004</v>
      </c>
      <c r="F15" s="39">
        <f>+E15*8%</f>
        <v>439352.51520000002</v>
      </c>
      <c r="G15" s="39">
        <f>+E15+F15</f>
        <v>5931258.9552000007</v>
      </c>
      <c r="H15" s="39">
        <f>G15*10%</f>
        <v>593125.89552000014</v>
      </c>
      <c r="I15" s="39">
        <f>+H15*19%</f>
        <v>112693.92014880003</v>
      </c>
      <c r="J15" s="39">
        <f>+G15+I15</f>
        <v>6043952.8753488008</v>
      </c>
      <c r="K15" s="40">
        <f>+J15</f>
        <v>6043952.8753488008</v>
      </c>
    </row>
    <row r="16" spans="1:12" ht="108" customHeight="1" x14ac:dyDescent="0.15">
      <c r="A16" s="1">
        <v>2</v>
      </c>
      <c r="B16" s="30" t="s">
        <v>24</v>
      </c>
      <c r="C16" s="22" t="s">
        <v>1</v>
      </c>
      <c r="D16" s="23">
        <v>1</v>
      </c>
      <c r="E16" s="39">
        <v>3661270.96</v>
      </c>
      <c r="F16" s="39">
        <f>+E16*8%</f>
        <v>292901.67680000002</v>
      </c>
      <c r="G16" s="39">
        <f>+E16+F16</f>
        <v>3954172.6368</v>
      </c>
      <c r="H16" s="39">
        <f>G16*10%</f>
        <v>395417.26368000003</v>
      </c>
      <c r="I16" s="39">
        <f t="shared" ref="I16:I20" si="5">+H16*19%</f>
        <v>75129.280099200012</v>
      </c>
      <c r="J16" s="39">
        <f t="shared" ref="J16:J22" si="6">+G16+I16</f>
        <v>4029301.9168992001</v>
      </c>
      <c r="K16" s="40">
        <f t="shared" ref="K16:K19" si="7">+J16</f>
        <v>4029301.9168992001</v>
      </c>
    </row>
    <row r="17" spans="1:18" ht="110" customHeight="1" x14ac:dyDescent="0.15">
      <c r="A17" s="1">
        <v>3</v>
      </c>
      <c r="B17" s="30" t="s">
        <v>25</v>
      </c>
      <c r="C17" s="22" t="s">
        <v>1</v>
      </c>
      <c r="D17" s="23">
        <v>1</v>
      </c>
      <c r="E17" s="39">
        <v>3661270.96</v>
      </c>
      <c r="F17" s="39">
        <f>+E17*8%</f>
        <v>292901.67680000002</v>
      </c>
      <c r="G17" s="39">
        <f t="shared" ref="G17:G22" si="8">+E17+F17</f>
        <v>3954172.6368</v>
      </c>
      <c r="H17" s="39">
        <f t="shared" ref="H17:H20" si="9">G17*10%</f>
        <v>395417.26368000003</v>
      </c>
      <c r="I17" s="39">
        <f t="shared" si="5"/>
        <v>75129.280099200012</v>
      </c>
      <c r="J17" s="39">
        <f t="shared" si="6"/>
        <v>4029301.9168992001</v>
      </c>
      <c r="K17" s="40">
        <f t="shared" si="7"/>
        <v>4029301.9168992001</v>
      </c>
    </row>
    <row r="18" spans="1:18" ht="91" customHeight="1" x14ac:dyDescent="0.15">
      <c r="A18" s="1">
        <v>4</v>
      </c>
      <c r="B18" s="30" t="s">
        <v>26</v>
      </c>
      <c r="C18" s="22" t="s">
        <v>1</v>
      </c>
      <c r="D18" s="23">
        <v>1</v>
      </c>
      <c r="E18" s="39">
        <v>12265290.470000001</v>
      </c>
      <c r="F18" s="39">
        <f>+E18*8%</f>
        <v>981223.23760000011</v>
      </c>
      <c r="G18" s="39">
        <f t="shared" si="8"/>
        <v>13246513.707600001</v>
      </c>
      <c r="H18" s="39">
        <f t="shared" si="9"/>
        <v>1324651.3707600003</v>
      </c>
      <c r="I18" s="39">
        <f t="shared" si="5"/>
        <v>251683.76044440008</v>
      </c>
      <c r="J18" s="39">
        <f t="shared" si="6"/>
        <v>13498197.468044402</v>
      </c>
      <c r="K18" s="40">
        <f t="shared" si="7"/>
        <v>13498197.468044402</v>
      </c>
    </row>
    <row r="19" spans="1:18" ht="95" customHeight="1" x14ac:dyDescent="0.15">
      <c r="A19" s="1">
        <v>5</v>
      </c>
      <c r="B19" s="30" t="s">
        <v>27</v>
      </c>
      <c r="C19" s="22" t="s">
        <v>1</v>
      </c>
      <c r="D19" s="23">
        <v>1</v>
      </c>
      <c r="E19" s="39">
        <v>12265290.470000001</v>
      </c>
      <c r="F19" s="39">
        <f>+E19*8%</f>
        <v>981223.23760000011</v>
      </c>
      <c r="G19" s="39">
        <f t="shared" si="8"/>
        <v>13246513.707600001</v>
      </c>
      <c r="H19" s="39">
        <f t="shared" si="9"/>
        <v>1324651.3707600003</v>
      </c>
      <c r="I19" s="39">
        <f t="shared" si="5"/>
        <v>251683.76044440008</v>
      </c>
      <c r="J19" s="39">
        <f t="shared" si="6"/>
        <v>13498197.468044402</v>
      </c>
      <c r="K19" s="40">
        <f t="shared" si="7"/>
        <v>13498197.468044402</v>
      </c>
    </row>
    <row r="20" spans="1:18" ht="97" customHeight="1" x14ac:dyDescent="0.15">
      <c r="A20" s="1">
        <v>6</v>
      </c>
      <c r="B20" s="30" t="s">
        <v>28</v>
      </c>
      <c r="C20" s="22" t="s">
        <v>1</v>
      </c>
      <c r="D20" s="23">
        <v>15</v>
      </c>
      <c r="E20" s="39">
        <v>12265290.470000001</v>
      </c>
      <c r="F20" s="39">
        <f>+E20*10%</f>
        <v>1226529.047</v>
      </c>
      <c r="G20" s="39">
        <f t="shared" si="8"/>
        <v>13491819.517000001</v>
      </c>
      <c r="H20" s="39">
        <f t="shared" si="9"/>
        <v>1349181.9517000001</v>
      </c>
      <c r="I20" s="39">
        <f t="shared" si="5"/>
        <v>256344.57082300002</v>
      </c>
      <c r="J20" s="39">
        <f t="shared" si="6"/>
        <v>13748164.087823002</v>
      </c>
      <c r="K20" s="40">
        <f>+J20*D20</f>
        <v>206222461.31734502</v>
      </c>
    </row>
    <row r="21" spans="1:18" ht="95" customHeight="1" x14ac:dyDescent="0.15">
      <c r="A21" s="5">
        <v>8</v>
      </c>
      <c r="B21" s="30" t="s">
        <v>29</v>
      </c>
      <c r="C21" s="22" t="s">
        <v>1</v>
      </c>
      <c r="D21" s="23">
        <v>1</v>
      </c>
      <c r="E21" s="39">
        <v>12265290.470000001</v>
      </c>
      <c r="F21" s="39">
        <f>+E21*10%</f>
        <v>1226529.047</v>
      </c>
      <c r="G21" s="39">
        <f t="shared" si="8"/>
        <v>13491819.517000001</v>
      </c>
      <c r="H21" s="39">
        <f t="shared" ref="H21:H22" si="10">G21*10%</f>
        <v>1349181.9517000001</v>
      </c>
      <c r="I21" s="39">
        <f t="shared" ref="I21:I22" si="11">+H21*19%</f>
        <v>256344.57082300002</v>
      </c>
      <c r="J21" s="39">
        <f t="shared" si="6"/>
        <v>13748164.087823002</v>
      </c>
      <c r="K21" s="40">
        <f t="shared" ref="K21:K22" si="12">+J21</f>
        <v>13748164.087823002</v>
      </c>
    </row>
    <row r="22" spans="1:18" ht="83" customHeight="1" x14ac:dyDescent="0.15">
      <c r="A22" s="5">
        <v>9</v>
      </c>
      <c r="B22" s="30" t="s">
        <v>30</v>
      </c>
      <c r="C22" s="22" t="s">
        <v>1</v>
      </c>
      <c r="D22" s="23">
        <v>1</v>
      </c>
      <c r="E22" s="39">
        <v>12265290.470000001</v>
      </c>
      <c r="F22" s="39">
        <f>+E22*10%</f>
        <v>1226529.047</v>
      </c>
      <c r="G22" s="39">
        <f t="shared" si="8"/>
        <v>13491819.517000001</v>
      </c>
      <c r="H22" s="39">
        <f t="shared" si="10"/>
        <v>1349181.9517000001</v>
      </c>
      <c r="I22" s="39">
        <f t="shared" si="11"/>
        <v>256344.57082300002</v>
      </c>
      <c r="J22" s="39">
        <f t="shared" si="6"/>
        <v>13748164.087823002</v>
      </c>
      <c r="K22" s="40">
        <f t="shared" si="12"/>
        <v>13748164.087823002</v>
      </c>
    </row>
    <row r="23" spans="1:18" ht="237" customHeight="1" x14ac:dyDescent="0.15">
      <c r="A23" s="5">
        <v>7</v>
      </c>
      <c r="B23" s="31" t="s">
        <v>3</v>
      </c>
      <c r="C23" s="22" t="s">
        <v>1</v>
      </c>
      <c r="D23" s="23">
        <v>16</v>
      </c>
      <c r="E23" s="62"/>
      <c r="F23" s="40">
        <v>0</v>
      </c>
      <c r="G23" s="39">
        <f>+E23+F23</f>
        <v>0</v>
      </c>
      <c r="H23" s="39">
        <v>0</v>
      </c>
      <c r="I23" s="62">
        <f>+G23*19%</f>
        <v>0</v>
      </c>
      <c r="J23" s="39">
        <f>+G23+I23</f>
        <v>0</v>
      </c>
      <c r="K23" s="62">
        <f>J23*D23</f>
        <v>0</v>
      </c>
      <c r="L23" s="8"/>
    </row>
    <row r="24" spans="1:18" ht="21" customHeight="1" x14ac:dyDescent="0.15">
      <c r="A24" s="5"/>
      <c r="B24" s="48" t="s">
        <v>33</v>
      </c>
      <c r="C24" s="49"/>
      <c r="D24" s="49"/>
      <c r="E24" s="49"/>
      <c r="F24" s="49"/>
      <c r="G24" s="49"/>
      <c r="H24" s="49"/>
      <c r="I24" s="49"/>
      <c r="J24" s="50"/>
      <c r="K24" s="43">
        <f>SUM(K15:K23)</f>
        <v>274817741.13822705</v>
      </c>
    </row>
    <row r="25" spans="1:18" ht="91" customHeight="1" x14ac:dyDescent="0.15">
      <c r="A25" s="11">
        <v>10</v>
      </c>
      <c r="B25" s="32" t="s">
        <v>31</v>
      </c>
      <c r="C25" s="26" t="s">
        <v>10</v>
      </c>
      <c r="D25" s="27">
        <v>120</v>
      </c>
      <c r="E25" s="61"/>
      <c r="F25" s="63">
        <v>0</v>
      </c>
      <c r="G25" s="44">
        <f t="shared" ref="G25" si="13">+E25+F25</f>
        <v>0</v>
      </c>
      <c r="H25" s="44">
        <v>0</v>
      </c>
      <c r="I25" s="44">
        <v>0</v>
      </c>
      <c r="J25" s="44">
        <f>+G25+I25</f>
        <v>0</v>
      </c>
      <c r="K25" s="64">
        <f>+J25*D25</f>
        <v>0</v>
      </c>
    </row>
    <row r="26" spans="1:18" ht="15" customHeight="1" x14ac:dyDescent="0.15">
      <c r="A26" s="2"/>
      <c r="B26" s="48" t="s">
        <v>37</v>
      </c>
      <c r="C26" s="49"/>
      <c r="D26" s="49"/>
      <c r="E26" s="49"/>
      <c r="F26" s="49"/>
      <c r="G26" s="49"/>
      <c r="H26" s="49"/>
      <c r="I26" s="49"/>
      <c r="J26" s="50"/>
      <c r="K26" s="41">
        <f>+(K13/2)</f>
        <v>161767846.45545</v>
      </c>
    </row>
    <row r="27" spans="1:18" ht="29" customHeight="1" x14ac:dyDescent="0.15">
      <c r="A27" s="2"/>
      <c r="B27" s="48" t="s">
        <v>38</v>
      </c>
      <c r="C27" s="49"/>
      <c r="D27" s="49"/>
      <c r="E27" s="49"/>
      <c r="F27" s="49"/>
      <c r="G27" s="49"/>
      <c r="H27" s="49"/>
      <c r="I27" s="49"/>
      <c r="J27" s="50"/>
      <c r="K27" s="42">
        <f>+K24*11.5</f>
        <v>3160404023.0896111</v>
      </c>
      <c r="P27" s="13"/>
    </row>
    <row r="28" spans="1:18" ht="12" customHeight="1" x14ac:dyDescent="0.15">
      <c r="A28" s="2"/>
      <c r="B28" s="48" t="s">
        <v>35</v>
      </c>
      <c r="C28" s="49"/>
      <c r="D28" s="49"/>
      <c r="E28" s="49"/>
      <c r="F28" s="49"/>
      <c r="G28" s="49"/>
      <c r="H28" s="49"/>
      <c r="I28" s="49"/>
      <c r="J28" s="50"/>
      <c r="K28" s="42">
        <f>SUM(K25:K27)</f>
        <v>3322171869.5450611</v>
      </c>
      <c r="R28" s="16"/>
    </row>
    <row r="29" spans="1:18" x14ac:dyDescent="0.15">
      <c r="B29" s="33"/>
      <c r="R29" s="20"/>
    </row>
    <row r="30" spans="1:18" x14ac:dyDescent="0.15">
      <c r="B30" s="60" t="s">
        <v>39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8" x14ac:dyDescent="0.15">
      <c r="B31" s="60"/>
      <c r="C31" s="60"/>
      <c r="D31" s="60"/>
      <c r="E31" s="60"/>
      <c r="F31" s="60"/>
      <c r="G31" s="60"/>
      <c r="H31" s="60"/>
      <c r="I31" s="60"/>
      <c r="J31" s="60"/>
      <c r="K31" s="60"/>
    </row>
    <row r="32" spans="1:18" x14ac:dyDescent="0.15"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2:16" x14ac:dyDescent="0.15">
      <c r="B33" s="33"/>
      <c r="P33" s="21"/>
    </row>
    <row r="34" spans="2:16" x14ac:dyDescent="0.15">
      <c r="B34" s="34"/>
    </row>
    <row r="35" spans="2:16" x14ac:dyDescent="0.15">
      <c r="B35" s="33"/>
    </row>
    <row r="36" spans="2:16" x14ac:dyDescent="0.15">
      <c r="B36" s="34"/>
      <c r="P36" s="13"/>
    </row>
    <row r="37" spans="2:16" x14ac:dyDescent="0.15">
      <c r="B37" s="33"/>
    </row>
    <row r="38" spans="2:16" x14ac:dyDescent="0.15">
      <c r="B38" s="34"/>
      <c r="P38" s="21"/>
    </row>
    <row r="39" spans="2:16" x14ac:dyDescent="0.15">
      <c r="B39" s="33"/>
      <c r="P39" s="16"/>
    </row>
    <row r="42" spans="2:16" ht="12" customHeight="1" x14ac:dyDescent="0.15">
      <c r="P42" s="21"/>
    </row>
    <row r="44" spans="2:16" ht="12" customHeight="1" x14ac:dyDescent="0.15"/>
    <row r="45" spans="2:16" ht="12" customHeight="1" x14ac:dyDescent="0.15"/>
    <row r="46" spans="2:16" ht="12" customHeight="1" x14ac:dyDescent="0.15"/>
  </sheetData>
  <sheetProtection formatCells="0" formatColumns="0"/>
  <mergeCells count="9">
    <mergeCell ref="B30:K32"/>
    <mergeCell ref="A1:K1"/>
    <mergeCell ref="B13:J13"/>
    <mergeCell ref="B26:J26"/>
    <mergeCell ref="B27:J27"/>
    <mergeCell ref="B28:J28"/>
    <mergeCell ref="A3:K3"/>
    <mergeCell ref="A14:K14"/>
    <mergeCell ref="B24:J24"/>
  </mergeCells>
  <phoneticPr fontId="1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BA34E-0505-8B47-AF27-F61666844846}">
  <dimension ref="A1:T35"/>
  <sheetViews>
    <sheetView topLeftCell="A10" zoomScale="150" zoomScaleNormal="60" workbookViewId="0">
      <selection activeCell="L11" sqref="L11"/>
    </sheetView>
  </sheetViews>
  <sheetFormatPr baseColWidth="10" defaultColWidth="9.1640625" defaultRowHeight="12" x14ac:dyDescent="0.15"/>
  <cols>
    <col min="1" max="1" width="3.6640625" style="9" customWidth="1"/>
    <col min="2" max="2" width="23.6640625" style="35" customWidth="1"/>
    <col min="3" max="3" width="4.83203125" style="17" customWidth="1"/>
    <col min="4" max="4" width="5" style="18" customWidth="1"/>
    <col min="5" max="5" width="9.33203125" style="19" customWidth="1"/>
    <col min="6" max="6" width="8.5" style="19" customWidth="1"/>
    <col min="7" max="7" width="9.33203125" style="19" customWidth="1"/>
    <col min="8" max="8" width="8.6640625" style="19" customWidth="1"/>
    <col min="9" max="9" width="8" style="19" customWidth="1"/>
    <col min="10" max="10" width="9.5" style="19" customWidth="1"/>
    <col min="11" max="11" width="11.83203125" style="19" customWidth="1"/>
    <col min="12" max="12" width="27.5" style="2" bestFit="1" customWidth="1"/>
    <col min="13" max="13" width="22" style="2" bestFit="1" customWidth="1"/>
    <col min="14" max="14" width="17.5" style="2" bestFit="1" customWidth="1"/>
    <col min="15" max="15" width="20.5" style="2" customWidth="1"/>
    <col min="16" max="17" width="9.1640625" style="2"/>
    <col min="18" max="18" width="22" style="2" bestFit="1" customWidth="1"/>
    <col min="19" max="19" width="20.83203125" style="2" customWidth="1"/>
    <col min="20" max="20" width="37.83203125" style="2" customWidth="1"/>
    <col min="21" max="16384" width="9.1640625" style="2"/>
  </cols>
  <sheetData>
    <row r="1" spans="1:20" ht="125.25" customHeight="1" x14ac:dyDescent="0.15">
      <c r="A1" s="45" t="s">
        <v>11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20" ht="38" customHeight="1" x14ac:dyDescent="0.15">
      <c r="A2" s="3"/>
      <c r="B2" s="29" t="s">
        <v>0</v>
      </c>
      <c r="C2" s="3" t="s">
        <v>18</v>
      </c>
      <c r="D2" s="3" t="s">
        <v>21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4</v>
      </c>
      <c r="K2" s="3" t="s">
        <v>2</v>
      </c>
    </row>
    <row r="3" spans="1:20" ht="109" customHeight="1" x14ac:dyDescent="0.15">
      <c r="A3" s="1">
        <v>1</v>
      </c>
      <c r="B3" s="30" t="s">
        <v>23</v>
      </c>
      <c r="C3" s="22" t="s">
        <v>1</v>
      </c>
      <c r="D3" s="23">
        <v>1</v>
      </c>
      <c r="E3" s="24">
        <f>ROUND(9.14*(1300000+2850)*0.5597/15*12,0)</f>
        <v>5331948</v>
      </c>
      <c r="F3" s="24">
        <f>+E3*8%</f>
        <v>426555.84</v>
      </c>
      <c r="G3" s="24">
        <f>+E3+F3</f>
        <v>5758503.8399999999</v>
      </c>
      <c r="H3" s="24">
        <f>G3*10%</f>
        <v>575850.38399999996</v>
      </c>
      <c r="I3" s="24">
        <f>+H3*19%</f>
        <v>109411.57295999999</v>
      </c>
      <c r="J3" s="24">
        <f>+G3+I3</f>
        <v>5867915.4129599994</v>
      </c>
      <c r="K3" s="25">
        <f>+J3</f>
        <v>5867915.4129599994</v>
      </c>
      <c r="L3" s="4"/>
      <c r="M3" s="2" t="s">
        <v>12</v>
      </c>
    </row>
    <row r="4" spans="1:20" ht="108" customHeight="1" x14ac:dyDescent="0.15">
      <c r="A4" s="1">
        <v>2</v>
      </c>
      <c r="B4" s="30" t="s">
        <v>24</v>
      </c>
      <c r="C4" s="22" t="s">
        <v>1</v>
      </c>
      <c r="D4" s="23">
        <v>1</v>
      </c>
      <c r="E4" s="24">
        <f>ROUND(9.14*(1300000+2850)*0.5597/15*12,0)/30*20</f>
        <v>3554632</v>
      </c>
      <c r="F4" s="24">
        <f>+E4*8%</f>
        <v>284370.56</v>
      </c>
      <c r="G4" s="24">
        <f>+E4+F4</f>
        <v>3839002.56</v>
      </c>
      <c r="H4" s="24">
        <f>G4*10%</f>
        <v>383900.25600000005</v>
      </c>
      <c r="I4" s="24">
        <f t="shared" ref="I4:I11" si="0">+H4*19%</f>
        <v>72941.048640000008</v>
      </c>
      <c r="J4" s="24">
        <f t="shared" ref="J4:J11" si="1">+G4+I4</f>
        <v>3911943.6086400002</v>
      </c>
      <c r="K4" s="25">
        <f t="shared" ref="K4:K11" si="2">+J4</f>
        <v>3911943.6086400002</v>
      </c>
      <c r="L4" s="4"/>
      <c r="M4" s="2" t="s">
        <v>13</v>
      </c>
    </row>
    <row r="5" spans="1:20" ht="110" customHeight="1" x14ac:dyDescent="0.15">
      <c r="A5" s="1">
        <v>3</v>
      </c>
      <c r="B5" s="30" t="s">
        <v>25</v>
      </c>
      <c r="C5" s="22" t="s">
        <v>1</v>
      </c>
      <c r="D5" s="23">
        <v>1</v>
      </c>
      <c r="E5" s="24">
        <f>ROUND(9.14*(1300000+2850)*0.5597/15*12,0)/30*20</f>
        <v>3554632</v>
      </c>
      <c r="F5" s="24">
        <f>+E5*8%</f>
        <v>284370.56</v>
      </c>
      <c r="G5" s="24">
        <f t="shared" ref="G5:G11" si="3">+E5+F5</f>
        <v>3839002.56</v>
      </c>
      <c r="H5" s="24">
        <f t="shared" ref="H5:H11" si="4">G5*10%</f>
        <v>383900.25600000005</v>
      </c>
      <c r="I5" s="24">
        <f t="shared" si="0"/>
        <v>72941.048640000008</v>
      </c>
      <c r="J5" s="24">
        <f t="shared" si="1"/>
        <v>3911943.6086400002</v>
      </c>
      <c r="K5" s="25">
        <f t="shared" si="2"/>
        <v>3911943.6086400002</v>
      </c>
      <c r="L5" s="4"/>
      <c r="M5" s="2" t="s">
        <v>14</v>
      </c>
      <c r="N5" s="2" t="s">
        <v>15</v>
      </c>
    </row>
    <row r="6" spans="1:20" ht="91" customHeight="1" x14ac:dyDescent="0.15">
      <c r="A6" s="1">
        <v>4</v>
      </c>
      <c r="B6" s="30" t="s">
        <v>26</v>
      </c>
      <c r="C6" s="22" t="s">
        <v>1</v>
      </c>
      <c r="D6" s="23">
        <v>1</v>
      </c>
      <c r="E6" s="24">
        <f>ROUND(9.14*(1300000+2850),0)</f>
        <v>11908049</v>
      </c>
      <c r="F6" s="24">
        <f>+E6*8%</f>
        <v>952643.92</v>
      </c>
      <c r="G6" s="24">
        <f t="shared" si="3"/>
        <v>12860692.92</v>
      </c>
      <c r="H6" s="24">
        <f t="shared" si="4"/>
        <v>1286069.2920000001</v>
      </c>
      <c r="I6" s="24">
        <f t="shared" si="0"/>
        <v>244353.16548000003</v>
      </c>
      <c r="J6" s="24">
        <f t="shared" si="1"/>
        <v>13105046.085480001</v>
      </c>
      <c r="K6" s="25">
        <f t="shared" si="2"/>
        <v>13105046.085480001</v>
      </c>
      <c r="L6" s="4"/>
      <c r="M6" s="2" t="s">
        <v>16</v>
      </c>
    </row>
    <row r="7" spans="1:20" ht="95" customHeight="1" x14ac:dyDescent="0.15">
      <c r="A7" s="1">
        <v>5</v>
      </c>
      <c r="B7" s="30" t="s">
        <v>27</v>
      </c>
      <c r="C7" s="22" t="s">
        <v>1</v>
      </c>
      <c r="D7" s="23">
        <v>1</v>
      </c>
      <c r="E7" s="24">
        <f>ROUND(9.14*(1300000+2850),0)</f>
        <v>11908049</v>
      </c>
      <c r="F7" s="24">
        <f>+E7*8%</f>
        <v>952643.92</v>
      </c>
      <c r="G7" s="24">
        <f t="shared" si="3"/>
        <v>12860692.92</v>
      </c>
      <c r="H7" s="24">
        <f t="shared" si="4"/>
        <v>1286069.2920000001</v>
      </c>
      <c r="I7" s="24">
        <f t="shared" si="0"/>
        <v>244353.16548000003</v>
      </c>
      <c r="J7" s="24">
        <f t="shared" si="1"/>
        <v>13105046.085480001</v>
      </c>
      <c r="K7" s="25">
        <f t="shared" si="2"/>
        <v>13105046.085480001</v>
      </c>
      <c r="L7" s="4"/>
    </row>
    <row r="8" spans="1:20" ht="97" customHeight="1" x14ac:dyDescent="0.15">
      <c r="A8" s="1">
        <v>6</v>
      </c>
      <c r="B8" s="30" t="s">
        <v>28</v>
      </c>
      <c r="C8" s="22" t="s">
        <v>1</v>
      </c>
      <c r="D8" s="23">
        <v>15</v>
      </c>
      <c r="E8" s="24">
        <f>ROUND(9.14*(1300000+2850),0)</f>
        <v>11908049</v>
      </c>
      <c r="F8" s="24">
        <f>+E8*10%</f>
        <v>1190804.9000000001</v>
      </c>
      <c r="G8" s="24">
        <f t="shared" si="3"/>
        <v>13098853.9</v>
      </c>
      <c r="H8" s="24">
        <f t="shared" si="4"/>
        <v>1309885.3900000001</v>
      </c>
      <c r="I8" s="24">
        <f t="shared" si="0"/>
        <v>248878.22410000002</v>
      </c>
      <c r="J8" s="24">
        <f t="shared" si="1"/>
        <v>13347732.1241</v>
      </c>
      <c r="K8" s="25">
        <f>+J8*D8</f>
        <v>200215981.86149999</v>
      </c>
      <c r="L8" s="4"/>
    </row>
    <row r="9" spans="1:20" ht="237" customHeight="1" x14ac:dyDescent="0.15">
      <c r="A9" s="5">
        <v>7</v>
      </c>
      <c r="B9" s="31" t="s">
        <v>3</v>
      </c>
      <c r="C9" s="22" t="s">
        <v>1</v>
      </c>
      <c r="D9" s="23">
        <v>16</v>
      </c>
      <c r="E9" s="24">
        <f xml:space="preserve"> 3545147/1.19</f>
        <v>2979115.1260504201</v>
      </c>
      <c r="F9" s="24"/>
      <c r="G9" s="24">
        <f t="shared" si="3"/>
        <v>2979115.1260504201</v>
      </c>
      <c r="H9" s="24"/>
      <c r="I9" s="24">
        <f>+G9*19%</f>
        <v>566031.87394957978</v>
      </c>
      <c r="J9" s="24">
        <f t="shared" si="1"/>
        <v>3545147</v>
      </c>
      <c r="K9" s="25">
        <f>J9*D9</f>
        <v>56722352</v>
      </c>
      <c r="L9" s="6"/>
      <c r="M9" s="7"/>
      <c r="N9" s="8"/>
    </row>
    <row r="10" spans="1:20" ht="95" customHeight="1" x14ac:dyDescent="0.15">
      <c r="A10" s="5">
        <v>8</v>
      </c>
      <c r="B10" s="30" t="s">
        <v>29</v>
      </c>
      <c r="C10" s="22" t="s">
        <v>1</v>
      </c>
      <c r="D10" s="23">
        <v>1</v>
      </c>
      <c r="E10" s="24">
        <f>ROUND(9.14*(1300000+2850),0)</f>
        <v>11908049</v>
      </c>
      <c r="F10" s="24">
        <f>+E10*10%</f>
        <v>1190804.9000000001</v>
      </c>
      <c r="G10" s="24">
        <f t="shared" si="3"/>
        <v>13098853.9</v>
      </c>
      <c r="H10" s="24">
        <f t="shared" si="4"/>
        <v>1309885.3900000001</v>
      </c>
      <c r="I10" s="24">
        <f t="shared" si="0"/>
        <v>248878.22410000002</v>
      </c>
      <c r="J10" s="24">
        <f t="shared" si="1"/>
        <v>13347732.1241</v>
      </c>
      <c r="K10" s="25">
        <f t="shared" si="2"/>
        <v>13347732.1241</v>
      </c>
      <c r="L10" s="4"/>
    </row>
    <row r="11" spans="1:20" ht="83" customHeight="1" x14ac:dyDescent="0.15">
      <c r="A11" s="5">
        <v>9</v>
      </c>
      <c r="B11" s="30" t="s">
        <v>30</v>
      </c>
      <c r="C11" s="22" t="s">
        <v>1</v>
      </c>
      <c r="D11" s="23">
        <v>1</v>
      </c>
      <c r="E11" s="24">
        <f>ROUND(9.14*(1300000+2850),0)</f>
        <v>11908049</v>
      </c>
      <c r="F11" s="24">
        <f>+E11*10%</f>
        <v>1190804.9000000001</v>
      </c>
      <c r="G11" s="24">
        <f t="shared" si="3"/>
        <v>13098853.9</v>
      </c>
      <c r="H11" s="24">
        <f t="shared" si="4"/>
        <v>1309885.3900000001</v>
      </c>
      <c r="I11" s="24">
        <f t="shared" si="0"/>
        <v>248878.22410000002</v>
      </c>
      <c r="J11" s="24">
        <f t="shared" si="1"/>
        <v>13347732.1241</v>
      </c>
      <c r="K11" s="25">
        <f t="shared" si="2"/>
        <v>13347732.1241</v>
      </c>
      <c r="L11" s="4"/>
    </row>
    <row r="12" spans="1:20" ht="18" customHeight="1" x14ac:dyDescent="0.15">
      <c r="B12" s="47" t="s">
        <v>17</v>
      </c>
      <c r="C12" s="47"/>
      <c r="D12" s="47"/>
      <c r="E12" s="47"/>
      <c r="F12" s="47"/>
      <c r="G12" s="47"/>
      <c r="H12" s="47"/>
      <c r="I12" s="47"/>
      <c r="J12" s="47"/>
      <c r="K12" s="15">
        <f>SUM(K3:K11)</f>
        <v>323535692.9109</v>
      </c>
      <c r="L12" s="10">
        <f>K12*12</f>
        <v>3882428314.9308</v>
      </c>
    </row>
    <row r="13" spans="1:20" ht="91" customHeight="1" x14ac:dyDescent="0.15">
      <c r="A13" s="11">
        <v>10</v>
      </c>
      <c r="B13" s="32" t="s">
        <v>31</v>
      </c>
      <c r="C13" s="26" t="s">
        <v>10</v>
      </c>
      <c r="D13" s="27">
        <v>120</v>
      </c>
      <c r="E13" s="28">
        <v>204000</v>
      </c>
      <c r="F13" s="28"/>
      <c r="G13" s="28">
        <f t="shared" ref="G13" si="5">+E13+F13</f>
        <v>204000</v>
      </c>
      <c r="H13" s="28"/>
      <c r="I13" s="28"/>
      <c r="J13" s="28">
        <f>+G13+I13</f>
        <v>204000</v>
      </c>
      <c r="K13" s="36">
        <f>+J13*D13</f>
        <v>24480000</v>
      </c>
      <c r="L13" s="4">
        <f>K13/12</f>
        <v>2040000</v>
      </c>
    </row>
    <row r="14" spans="1:20" ht="15" customHeight="1" x14ac:dyDescent="0.15">
      <c r="A14" s="2"/>
      <c r="B14" s="54" t="s">
        <v>22</v>
      </c>
      <c r="C14" s="55"/>
      <c r="D14" s="55"/>
      <c r="E14" s="55"/>
      <c r="F14" s="55"/>
      <c r="G14" s="55"/>
      <c r="H14" s="55"/>
      <c r="I14" s="55"/>
      <c r="J14" s="56"/>
      <c r="K14" s="12">
        <f>+K12*2</f>
        <v>647071385.82179999</v>
      </c>
      <c r="L14" s="13"/>
      <c r="M14" s="14"/>
    </row>
    <row r="15" spans="1:20" ht="12" customHeight="1" x14ac:dyDescent="0.15">
      <c r="A15" s="2"/>
      <c r="B15" s="54" t="s">
        <v>20</v>
      </c>
      <c r="C15" s="55"/>
      <c r="D15" s="55"/>
      <c r="E15" s="55"/>
      <c r="F15" s="55"/>
      <c r="G15" s="55"/>
      <c r="H15" s="55"/>
      <c r="I15" s="55"/>
      <c r="J15" s="56"/>
      <c r="K15" s="15">
        <f>+((K12*3%)+K12)*10</f>
        <v>3332417636.9822698</v>
      </c>
      <c r="M15" s="10"/>
      <c r="R15" s="13"/>
    </row>
    <row r="16" spans="1:20" ht="12" customHeight="1" x14ac:dyDescent="0.15">
      <c r="A16" s="2"/>
      <c r="B16" s="57" t="s">
        <v>19</v>
      </c>
      <c r="C16" s="58"/>
      <c r="D16" s="58"/>
      <c r="E16" s="58"/>
      <c r="F16" s="58"/>
      <c r="G16" s="58"/>
      <c r="H16" s="58"/>
      <c r="I16" s="58"/>
      <c r="J16" s="59"/>
      <c r="K16" s="15">
        <f>SUM(K13:K15)</f>
        <v>4003969022.8040695</v>
      </c>
      <c r="T16" s="16"/>
    </row>
    <row r="17" spans="2:20" x14ac:dyDescent="0.15">
      <c r="B17" s="33"/>
      <c r="T17" s="20"/>
    </row>
    <row r="18" spans="2:20" x14ac:dyDescent="0.15">
      <c r="B18" s="34"/>
      <c r="L18" s="37">
        <v>1158042090.8</v>
      </c>
      <c r="M18" s="21"/>
    </row>
    <row r="19" spans="2:20" x14ac:dyDescent="0.15">
      <c r="B19" s="33"/>
      <c r="L19" s="10">
        <f>L18-K14-K13</f>
        <v>486490704.97819996</v>
      </c>
      <c r="M19" s="13"/>
    </row>
    <row r="20" spans="2:20" x14ac:dyDescent="0.15">
      <c r="B20" s="33"/>
      <c r="L20" s="2">
        <f>K12*3%</f>
        <v>9706070.787326999</v>
      </c>
      <c r="M20" s="13"/>
    </row>
    <row r="21" spans="2:20" x14ac:dyDescent="0.15">
      <c r="B21" s="33"/>
      <c r="L21" s="20">
        <f>L20+K12</f>
        <v>333241763.69822699</v>
      </c>
      <c r="M21" s="21"/>
      <c r="R21" s="21"/>
    </row>
    <row r="22" spans="2:20" x14ac:dyDescent="0.15">
      <c r="B22" s="34"/>
      <c r="L22" s="10">
        <f>L19-L21</f>
        <v>153248941.27997297</v>
      </c>
      <c r="M22" s="20"/>
    </row>
    <row r="23" spans="2:20" x14ac:dyDescent="0.15">
      <c r="B23" s="33"/>
      <c r="L23" s="38">
        <f>L21/30</f>
        <v>11108058.789940899</v>
      </c>
      <c r="M23" s="21">
        <f>L22/L23</f>
        <v>13.796194652728188</v>
      </c>
    </row>
    <row r="24" spans="2:20" x14ac:dyDescent="0.15">
      <c r="B24" s="34"/>
      <c r="M24" s="13"/>
      <c r="R24" s="13"/>
    </row>
    <row r="25" spans="2:20" x14ac:dyDescent="0.15">
      <c r="B25" s="33"/>
      <c r="M25" s="21"/>
    </row>
    <row r="26" spans="2:20" x14ac:dyDescent="0.15">
      <c r="B26" s="34"/>
      <c r="M26" s="21"/>
      <c r="R26" s="21"/>
    </row>
    <row r="27" spans="2:20" x14ac:dyDescent="0.15">
      <c r="B27" s="33"/>
      <c r="R27" s="16"/>
    </row>
    <row r="28" spans="2:20" x14ac:dyDescent="0.15">
      <c r="M28" s="13"/>
    </row>
    <row r="29" spans="2:20" x14ac:dyDescent="0.15">
      <c r="M29" s="21"/>
    </row>
    <row r="30" spans="2:20" ht="12" customHeight="1" x14ac:dyDescent="0.15">
      <c r="R30" s="21"/>
    </row>
    <row r="32" spans="2:20" ht="12" customHeight="1" x14ac:dyDescent="0.15">
      <c r="L32" s="13"/>
      <c r="M32" s="13"/>
    </row>
    <row r="33" spans="13:13" ht="12" customHeight="1" x14ac:dyDescent="0.15">
      <c r="M33" s="13"/>
    </row>
    <row r="34" spans="13:13" ht="12" customHeight="1" x14ac:dyDescent="0.15">
      <c r="M34" s="13"/>
    </row>
    <row r="35" spans="13:13" x14ac:dyDescent="0.15">
      <c r="M35" s="21"/>
    </row>
  </sheetData>
  <mergeCells count="5">
    <mergeCell ref="B14:J14"/>
    <mergeCell ref="B15:J15"/>
    <mergeCell ref="B16:J16"/>
    <mergeCell ref="A1:K1"/>
    <mergeCell ref="B12:J1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Nuevo Contrato (2)</vt:lpstr>
      <vt:lpstr>Nuevo Contrato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MERCEDES GONZALEZ VARGAS</dc:creator>
  <cp:keywords/>
  <dc:description/>
  <cp:lastModifiedBy>Mery Johanna Arias Romero</cp:lastModifiedBy>
  <dcterms:created xsi:type="dcterms:W3CDTF">2017-12-20T17:27:02Z</dcterms:created>
  <dcterms:modified xsi:type="dcterms:W3CDTF">2024-10-09T21:26:41Z</dcterms:modified>
  <cp:category/>
  <cp:contentStatus/>
</cp:coreProperties>
</file>